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ttps://d.docs.live.net/393412cce8579478/NCSD Bicillin Tracking System/Webinar 06 2018/"/>
    </mc:Choice>
  </mc:AlternateContent>
  <xr:revisionPtr revIDLastSave="3" documentId="8_{91FE6270-8011-41BC-8084-0C3052EE7621}" xr6:coauthVersionLast="34" xr6:coauthVersionMax="34" xr10:uidLastSave="{04731A88-938E-449B-8012-F5A6BEBCF5BE}"/>
  <workbookProtection workbookAlgorithmName="SHA-256" workbookHashValue="3XkrrF4kPIPHBlJoMcXATeCmNAE++8lfself/3Z/WyE=" workbookSaltValue="WpIhrSMntBI6QUMSJIc96w==" workbookSpinCount="100000" lockStructure="1"/>
  <bookViews>
    <workbookView xWindow="0" yWindow="0" windowWidth="19200" windowHeight="641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 s="1"/>
  <c r="H12" i="1"/>
  <c r="I12" i="1" s="1"/>
  <c r="H13" i="1"/>
  <c r="I13" i="1" s="1"/>
  <c r="H14" i="1"/>
  <c r="I14" i="1" s="1"/>
  <c r="J12" i="1" l="1"/>
  <c r="J13" i="1"/>
  <c r="F10" i="1" l="1"/>
  <c r="F14" i="1" l="1"/>
  <c r="G14" i="1"/>
  <c r="F13" i="1"/>
  <c r="G13" i="1"/>
  <c r="G12" i="1"/>
  <c r="F12" i="1"/>
  <c r="F11" i="1"/>
  <c r="F16" i="1" s="1"/>
  <c r="G11" i="1"/>
  <c r="G10" i="1"/>
  <c r="G16" i="1" l="1"/>
  <c r="K13" i="1"/>
  <c r="D10" i="1" l="1"/>
  <c r="H10" i="1" s="1"/>
  <c r="I10" i="1" s="1"/>
  <c r="J10" i="1" l="1"/>
  <c r="K10" i="1" l="1"/>
  <c r="D11" i="1"/>
  <c r="D12" i="1"/>
  <c r="D13" i="1"/>
  <c r="D14" i="1"/>
  <c r="J14" i="1" l="1"/>
  <c r="J11" i="1"/>
  <c r="B16" i="1"/>
  <c r="C16" i="1"/>
  <c r="H16" i="1" l="1"/>
  <c r="K14" i="1"/>
  <c r="K12" i="1"/>
  <c r="J16" i="1"/>
  <c r="J19" i="1" s="1"/>
  <c r="D16" i="1"/>
  <c r="K11" i="1" l="1"/>
  <c r="K16" i="1" s="1"/>
  <c r="K19" i="1" s="1"/>
  <c r="I16" i="1"/>
</calcChain>
</file>

<file path=xl/sharedStrings.xml><?xml version="1.0" encoding="utf-8"?>
<sst xmlns="http://schemas.openxmlformats.org/spreadsheetml/2006/main" count="34" uniqueCount="34">
  <si>
    <t>Stage at treatment</t>
  </si>
  <si>
    <t>Early latent</t>
  </si>
  <si>
    <t>Late latent</t>
  </si>
  <si>
    <t>Late with clinical manifestations</t>
  </si>
  <si>
    <t>% change</t>
  </si>
  <si>
    <t>Need to order to meet expected demand</t>
  </si>
  <si>
    <t>Total (cases or doses)</t>
  </si>
  <si>
    <t>Notes:</t>
  </si>
  <si>
    <t>Multiplication</t>
  </si>
  <si>
    <t>Primary and secondary</t>
  </si>
  <si>
    <t>Data can only be entered in the colored cells: must fill (green), or optional (yellow).  Enter numbers only as indicated in the notes</t>
  </si>
  <si>
    <r>
      <t>Number of patients empirically treated per case of P&amp;S or EL</t>
    </r>
    <r>
      <rPr>
        <b/>
        <vertAlign val="superscript"/>
        <sz val="11"/>
        <color rgb="FFFF0000"/>
        <rFont val="Calibri"/>
        <family val="2"/>
        <scheme val="minor"/>
      </rPr>
      <t>1</t>
    </r>
  </si>
  <si>
    <r>
      <t>Probable / confirmed cases treated</t>
    </r>
    <r>
      <rPr>
        <b/>
        <vertAlign val="superscript"/>
        <sz val="11"/>
        <color rgb="FF0000FF"/>
        <rFont val="Calibri"/>
        <family val="2"/>
        <scheme val="minor"/>
      </rPr>
      <t>2</t>
    </r>
  </si>
  <si>
    <r>
      <t>Factor</t>
    </r>
    <r>
      <rPr>
        <b/>
        <vertAlign val="superscript"/>
        <sz val="11"/>
        <color rgb="FF0000FF"/>
        <rFont val="Calibri"/>
        <family val="2"/>
        <scheme val="minor"/>
      </rPr>
      <t>3</t>
    </r>
  </si>
  <si>
    <r>
      <t>Calculated doses used (2.4 mu)</t>
    </r>
    <r>
      <rPr>
        <b/>
        <vertAlign val="superscript"/>
        <sz val="11"/>
        <color rgb="FF0000FF"/>
        <rFont val="Calibri"/>
        <family val="2"/>
        <scheme val="minor"/>
      </rPr>
      <t>4</t>
    </r>
  </si>
  <si>
    <r>
      <t>Forecast cases</t>
    </r>
    <r>
      <rPr>
        <b/>
        <vertAlign val="superscript"/>
        <sz val="11"/>
        <color rgb="FF0000FF"/>
        <rFont val="Calibri"/>
        <family val="2"/>
        <scheme val="minor"/>
      </rPr>
      <t>5</t>
    </r>
  </si>
  <si>
    <r>
      <t>Forecast doses (2.4 mu)</t>
    </r>
    <r>
      <rPr>
        <b/>
        <vertAlign val="superscript"/>
        <sz val="11"/>
        <color rgb="FF0000FF"/>
        <rFont val="Calibri"/>
        <family val="2"/>
        <scheme val="minor"/>
      </rPr>
      <t>4</t>
    </r>
  </si>
  <si>
    <r>
      <t>Congenital</t>
    </r>
    <r>
      <rPr>
        <vertAlign val="superscript"/>
        <sz val="11"/>
        <color theme="1"/>
        <rFont val="Calibri"/>
        <family val="2"/>
        <scheme val="minor"/>
      </rPr>
      <t>6</t>
    </r>
  </si>
  <si>
    <r>
      <t>Percentage of syphilis that is treated by the health department (enter as a number 0-100)</t>
    </r>
    <r>
      <rPr>
        <vertAlign val="superscript"/>
        <sz val="11"/>
        <color theme="1"/>
        <rFont val="Calibri"/>
        <family val="2"/>
        <scheme val="minor"/>
      </rPr>
      <t>9</t>
    </r>
  </si>
  <si>
    <t>2 Confirmed cases = those meeting  the CDC case definitions (probable for early latent or late latent).  If a patient who is empirically treated is later confirmed but not re-treated, do not count the patient twice</t>
  </si>
  <si>
    <t>9 OPTIONAL: Leave blank if unknown.  If no number entered, 100% is assumed.</t>
  </si>
  <si>
    <t>1 OPTIONAL: empirically treated (i.e., epi treatment, epidemiologic treatment, preventative treatment, presumptive treatment). You may enter a value if you have an estimate based on your own data.  Otherwise, 0.25 (or 1 patient empirically treated per 4 P,S,EL patients) will be assumed for the calculations in the table.</t>
  </si>
  <si>
    <t>8  Enter number of 2.4 mu dose equivalents available at the beginning of the year-e.g., 1 box of 10- 1.2 mu syringes-- 2.4 mu equivalent is 5; 1 box of 10-2.4 mu syringes--2.4 mu equivalent is 10</t>
  </si>
  <si>
    <r>
      <t>Percentage of cases treated with non-bicillin therapy (enter as a number 0-100)</t>
    </r>
    <r>
      <rPr>
        <vertAlign val="superscript"/>
        <sz val="11"/>
        <color theme="1"/>
        <rFont val="Calibri"/>
        <family val="2"/>
        <scheme val="minor"/>
      </rPr>
      <t>7</t>
    </r>
  </si>
  <si>
    <t>Developed by CDC in consultation with NCSD</t>
  </si>
  <si>
    <t>2016-2017</t>
  </si>
  <si>
    <t>3 OPTIONAL: Cases forecast for 2018 and 2019 are based on  your jurisdiction's change 2016-2017 as entered on columns B and C.  If you would like to forecast cases based on a different multiplication factor, you may enter it here--enter a percentage; e.g., -10.0 means a 10% decline, 20.0 means a 20% increase.</t>
  </si>
  <si>
    <t>5 Forecast cases are based on either the percentage change 2016-2017 (column D) or the multiplication factor entered in column E.  Increases are capped at 100% of the cases in 2017 unless a higher multiplication factor is entered.</t>
  </si>
  <si>
    <t>7 OPTIONAL: Leave blank if unknown. Percentage treated with non-bicillin in 2017, if entered, is used to estimate the forecast doses for 2018 and 2019</t>
  </si>
  <si>
    <t>Enter case count data for 2016 and 2017 in columns B &amp; C.  Doses used in 2016-2017 and forecast doses in 2018 and 2019 automatically populate</t>
  </si>
  <si>
    <t>BENZATHINE PENICILLIN G (BICILLIN L-A) SUPPLY FORECASTING TOOL</t>
  </si>
  <si>
    <t>4 Assumes all cases treated with 2.4 mu of benzathine penicillin G (3 doses per case for late syphilis).  Includes empiric partner treatment. Adjusted for the precentage treated with non-bicillin as discussed in note 5 below</t>
  </si>
  <si>
    <t>6 Refers to treatment of the congenital syphilis (CS) case only, not the mother: assumes 2.4 mu of benzathine penicillin G used to treat (except as modified by the percentage treated with non-bicillin therapy).  However, management of CS is dependent upon neonatal weight and clinical considerations and more or less bicillin may be used in treating a given patient.</t>
  </si>
  <si>
    <r>
      <t>Inventory at start of calendar year 2018 or 2019</t>
    </r>
    <r>
      <rPr>
        <vertAlign val="superscript"/>
        <sz val="11"/>
        <color theme="1"/>
        <rFont val="Calibri"/>
        <family val="2"/>
        <scheme val="minor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</si>
</sst>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/>
    <xf numFmtId="2" fontId="2" fillId="0" borderId="0" xfId="0" applyNumberFormat="1" applyFont="1" applyAlignment="1"/>
    <xf numFmtId="2" fontId="0" fillId="0" borderId="1" xfId="0" applyNumberFormat="1" applyBorder="1" applyAlignment="1">
      <alignment wrapText="1"/>
    </xf>
    <xf numFmtId="0" fontId="0" fillId="2" borderId="1" xfId="0" applyFill="1" applyBorder="1"/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0" fillId="0" borderId="0" xfId="0" applyFont="1"/>
    <xf numFmtId="2" fontId="3" fillId="0" borderId="0" xfId="0" quotePrefix="1" applyNumberFormat="1" applyFont="1" applyAlignment="1"/>
    <xf numFmtId="0" fontId="3" fillId="0" borderId="0" xfId="0" applyFont="1"/>
    <xf numFmtId="0" fontId="0" fillId="2" borderId="2" xfId="0" applyFill="1" applyBorder="1"/>
    <xf numFmtId="0" fontId="1" fillId="0" borderId="0" xfId="0" applyFont="1" applyAlignment="1">
      <alignment horizontal="center"/>
    </xf>
    <xf numFmtId="2" fontId="2" fillId="0" borderId="0" xfId="0" applyNumberFormat="1" applyFont="1" applyFill="1" applyAlignment="1"/>
    <xf numFmtId="0" fontId="0" fillId="0" borderId="0" xfId="0" applyFill="1"/>
    <xf numFmtId="2" fontId="2" fillId="0" borderId="0" xfId="0" applyNumberFormat="1" applyFont="1" applyFill="1" applyAlignment="1">
      <alignment wrapText="1"/>
    </xf>
    <xf numFmtId="0" fontId="5" fillId="2" borderId="2" xfId="0" applyFont="1" applyFill="1" applyBorder="1"/>
    <xf numFmtId="164" fontId="0" fillId="2" borderId="2" xfId="0" applyNumberForma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 wrapText="1"/>
    </xf>
    <xf numFmtId="0" fontId="2" fillId="3" borderId="1" xfId="0" applyFont="1" applyFill="1" applyBorder="1"/>
    <xf numFmtId="0" fontId="0" fillId="4" borderId="1" xfId="0" applyFill="1" applyBorder="1"/>
    <xf numFmtId="164" fontId="0" fillId="5" borderId="1" xfId="0" applyNumberFormat="1" applyFill="1" applyBorder="1"/>
    <xf numFmtId="0" fontId="0" fillId="5" borderId="2" xfId="0" applyFill="1" applyBorder="1"/>
    <xf numFmtId="0" fontId="0" fillId="5" borderId="1" xfId="0" applyFill="1" applyBorder="1"/>
    <xf numFmtId="0" fontId="0" fillId="0" borderId="1" xfId="0" applyFill="1" applyBorder="1" applyProtection="1"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164" fontId="0" fillId="0" borderId="1" xfId="0" applyNumberFormat="1" applyBorder="1" applyProtection="1">
      <protection hidden="1"/>
    </xf>
    <xf numFmtId="164" fontId="0" fillId="0" borderId="2" xfId="0" applyNumberFormat="1" applyBorder="1" applyProtection="1">
      <protection hidden="1"/>
    </xf>
    <xf numFmtId="0" fontId="0" fillId="0" borderId="2" xfId="0" applyFill="1" applyBorder="1" applyProtection="1">
      <protection hidden="1"/>
    </xf>
    <xf numFmtId="0" fontId="8" fillId="0" borderId="0" xfId="0" applyFont="1" applyAlignment="1">
      <alignment horizontal="center"/>
    </xf>
    <xf numFmtId="2" fontId="2" fillId="5" borderId="3" xfId="0" applyNumberFormat="1" applyFont="1" applyFill="1" applyBorder="1" applyAlignment="1"/>
    <xf numFmtId="2" fontId="2" fillId="5" borderId="4" xfId="0" applyNumberFormat="1" applyFont="1" applyFill="1" applyBorder="1" applyAlignment="1"/>
    <xf numFmtId="2" fontId="2" fillId="5" borderId="5" xfId="0" applyNumberFormat="1" applyFont="1" applyFill="1" applyBorder="1" applyAlignment="1"/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CC"/>
      <color rgb="FFFFCCFF"/>
      <color rgb="FF99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7" workbookViewId="0">
      <selection activeCell="B7" sqref="B7"/>
    </sheetView>
  </sheetViews>
  <sheetFormatPr defaultRowHeight="14.5" x14ac:dyDescent="0.35"/>
  <cols>
    <col min="1" max="1" width="31.1796875" style="1" customWidth="1"/>
    <col min="2" max="3" width="10.1796875" customWidth="1"/>
    <col min="4" max="4" width="10.26953125" customWidth="1"/>
    <col min="5" max="5" width="13.81640625" customWidth="1"/>
    <col min="6" max="7" width="10.7265625" customWidth="1"/>
    <col min="8" max="9" width="8.453125" customWidth="1"/>
    <col min="10" max="11" width="14.26953125" customWidth="1"/>
  </cols>
  <sheetData>
    <row r="1" spans="1:11" ht="31" x14ac:dyDescent="0.7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35">
      <c r="A2" s="23"/>
    </row>
    <row r="3" spans="1:11" x14ac:dyDescent="0.35">
      <c r="A3" s="6" t="s">
        <v>29</v>
      </c>
    </row>
    <row r="4" spans="1:11" x14ac:dyDescent="0.35">
      <c r="A4" s="36" t="s">
        <v>10</v>
      </c>
      <c r="B4" s="37"/>
      <c r="C4" s="37"/>
      <c r="D4" s="37"/>
      <c r="E4" s="37"/>
      <c r="F4" s="37"/>
      <c r="G4" s="37"/>
      <c r="H4" s="37"/>
      <c r="I4" s="37"/>
      <c r="J4" s="38"/>
    </row>
    <row r="5" spans="1:11" x14ac:dyDescent="0.35">
      <c r="A5" s="17"/>
      <c r="B5" s="18"/>
      <c r="C5" s="18"/>
      <c r="D5" s="18"/>
      <c r="E5" s="18"/>
    </row>
    <row r="6" spans="1:11" ht="31" x14ac:dyDescent="0.35">
      <c r="A6" s="19" t="s">
        <v>11</v>
      </c>
      <c r="B6" s="28">
        <v>6</v>
      </c>
      <c r="C6" s="22"/>
      <c r="D6" s="22"/>
      <c r="E6" s="22"/>
      <c r="F6" s="22"/>
      <c r="G6" s="22"/>
      <c r="H6" s="22"/>
      <c r="I6" s="22"/>
      <c r="J6" s="22"/>
    </row>
    <row r="8" spans="1:11" ht="30.75" customHeight="1" x14ac:dyDescent="0.35">
      <c r="B8" s="43" t="s">
        <v>12</v>
      </c>
      <c r="C8" s="43"/>
      <c r="D8" s="4" t="s">
        <v>4</v>
      </c>
      <c r="E8" s="16" t="s">
        <v>8</v>
      </c>
      <c r="F8" s="43" t="s">
        <v>14</v>
      </c>
      <c r="G8" s="43"/>
      <c r="H8" s="41" t="s">
        <v>15</v>
      </c>
      <c r="I8" s="41"/>
      <c r="J8" s="41" t="s">
        <v>16</v>
      </c>
      <c r="K8" s="41"/>
    </row>
    <row r="9" spans="1:11" ht="16.5" x14ac:dyDescent="0.35">
      <c r="A9" s="2" t="s">
        <v>0</v>
      </c>
      <c r="B9" s="3">
        <v>2016</v>
      </c>
      <c r="C9" s="3">
        <v>2017</v>
      </c>
      <c r="D9" s="3" t="s">
        <v>25</v>
      </c>
      <c r="E9" s="3" t="s">
        <v>13</v>
      </c>
      <c r="F9" s="3">
        <v>2016</v>
      </c>
      <c r="G9" s="3">
        <v>2017</v>
      </c>
      <c r="H9" s="11">
        <v>2018</v>
      </c>
      <c r="I9" s="16">
        <v>2019</v>
      </c>
      <c r="J9" s="3">
        <v>2018</v>
      </c>
      <c r="K9" s="3">
        <v>2019</v>
      </c>
    </row>
    <row r="10" spans="1:11" x14ac:dyDescent="0.35">
      <c r="A10" s="1" t="s">
        <v>9</v>
      </c>
      <c r="B10" s="25">
        <v>200</v>
      </c>
      <c r="C10" s="25">
        <v>300</v>
      </c>
      <c r="D10" s="32">
        <f>IF(B10=0,(IF(C10=0,0,"")),(IF(C10=0,0,((C10-B10)/B10)*100)))</f>
        <v>50</v>
      </c>
      <c r="E10" s="26"/>
      <c r="F10" s="29">
        <f>ROUND((IF($B$6="",B10*1.25,B10*(1+$B$6))*(1-B$15/100)),0)</f>
        <v>1400</v>
      </c>
      <c r="G10" s="29">
        <f>ROUND((IF($B$6="",C10*1.25,C10*(1+$B$6))*(1-C$15/100)),0)</f>
        <v>2100</v>
      </c>
      <c r="H10" s="29">
        <f>ROUND(IF($B10=0,IF($E10="",$C10*2,$C10*(1+$E10/100)),IF($B10&gt;$C10,IF($E10="",$B10,(1+$E10/100)*$C10),IF($E10="",IF(1+$D10/100&gt;2, $C10*2,(1+$D10/100)*$C10),(1+$E10/100)*$C10))),0)</f>
        <v>450</v>
      </c>
      <c r="I10" s="29">
        <f>ROUND(IF($B10=0, IF($E10="",$C10*3,H10*(1+$E10/100)),IF($B10&gt;$C10,IF($E10="",$B10,(1+$E10/100)*$H10),IF($E10="",IF(1+$D10/100&gt;2, $H10*2, (1+$D10/100)*H10),(1+$E10/100)*H10))),0)</f>
        <v>675</v>
      </c>
      <c r="J10" s="30">
        <f>ROUND(IF($B$6="",H10*1.25,H10*(1+$B$6))*(1-$C$15/100),0)</f>
        <v>3150</v>
      </c>
      <c r="K10" s="30">
        <f>ROUND(IF($B$6="",I10*1.25,I10*(1+$B$6))*(1-$C$15/100),0)</f>
        <v>4725</v>
      </c>
    </row>
    <row r="11" spans="1:11" x14ac:dyDescent="0.35">
      <c r="A11" s="1" t="s">
        <v>1</v>
      </c>
      <c r="B11" s="25"/>
      <c r="C11" s="25"/>
      <c r="D11" s="32">
        <f t="shared" ref="D11:D16" si="0">IF(B11=0,(IF(C11=0,0,"")),(IF(C11=0,0,((C11-B11)/B11)*100)))</f>
        <v>0</v>
      </c>
      <c r="E11" s="26"/>
      <c r="F11" s="29">
        <f>ROUND((IF($B$6="",B11*1.25,B11*(1+$B$6))*(1-B$15/100)),0)</f>
        <v>0</v>
      </c>
      <c r="G11" s="29">
        <f>ROUND((IF($B$6="",C11*1.25,C11*(1+$B$6))*(1-C$15/100)),0)</f>
        <v>0</v>
      </c>
      <c r="H11" s="29">
        <f t="shared" ref="H11:H14" si="1">ROUND(IF($B11=0,IF($E11="",$C11*2,$C11*(1+$E11/100)),IF($B11&gt;$C11,IF($E11="",$B11,(1+$E11/100)*$C11),IF($E11="",IF(1+$D11/100&gt;2, $C11*2,(1+$D11/100)*$C11),(1+$E11/100)*$C11))),0)</f>
        <v>0</v>
      </c>
      <c r="I11" s="29">
        <f t="shared" ref="I11:I14" si="2">ROUND(IF($B11=0, IF($E11="",$C11*3,H11*(1+$E11/100)),IF($B11&gt;$C11,IF($E11="",$B11,(1+$E11/100)*$H11),IF($E11="",IF(1+$D11/100&gt;2, $H11*2, (1+$D11/100)*H11),(1+$E11/100)*H11))),0)</f>
        <v>0</v>
      </c>
      <c r="J11" s="30">
        <f>ROUND(IF($B$6="",H11*1.25,H11*(1+$B$6))*(1-$C$15/100),0)</f>
        <v>0</v>
      </c>
      <c r="K11" s="30">
        <f>ROUND(IF($B$6="",I11*1.25,I11*(1+$B$6))*(1-$C$15/100),0)</f>
        <v>0</v>
      </c>
    </row>
    <row r="12" spans="1:11" x14ac:dyDescent="0.35">
      <c r="A12" s="1" t="s">
        <v>2</v>
      </c>
      <c r="B12" s="25"/>
      <c r="C12" s="25"/>
      <c r="D12" s="32">
        <f t="shared" si="0"/>
        <v>0</v>
      </c>
      <c r="E12" s="26"/>
      <c r="F12" s="29">
        <f>B12*(1-B$15/100)*3</f>
        <v>0</v>
      </c>
      <c r="G12" s="29">
        <f>C12*(1-C$15/100)*3</f>
        <v>0</v>
      </c>
      <c r="H12" s="29">
        <f t="shared" si="1"/>
        <v>0</v>
      </c>
      <c r="I12" s="29">
        <f t="shared" si="2"/>
        <v>0</v>
      </c>
      <c r="J12" s="30">
        <f>3*ROUND(H12*(1-$C$15/100),0)</f>
        <v>0</v>
      </c>
      <c r="K12" s="30">
        <f>3*ROUND(I12*(1-$C$15/100),0)</f>
        <v>0</v>
      </c>
    </row>
    <row r="13" spans="1:11" x14ac:dyDescent="0.35">
      <c r="A13" s="1" t="s">
        <v>3</v>
      </c>
      <c r="B13" s="25"/>
      <c r="C13" s="25"/>
      <c r="D13" s="32">
        <f t="shared" si="0"/>
        <v>0</v>
      </c>
      <c r="E13" s="26"/>
      <c r="F13" s="29">
        <f>B13*(1-B$15/100)*3</f>
        <v>0</v>
      </c>
      <c r="G13" s="29">
        <f>C13*(1-C$15/100)*3</f>
        <v>0</v>
      </c>
      <c r="H13" s="29">
        <f t="shared" si="1"/>
        <v>0</v>
      </c>
      <c r="I13" s="29">
        <f t="shared" si="2"/>
        <v>0</v>
      </c>
      <c r="J13" s="30">
        <f>3*ROUND(H13*(1-$C$15/100),0)</f>
        <v>0</v>
      </c>
      <c r="K13" s="30">
        <f>3*ROUND(I13*(1-$C$15/100),0)</f>
        <v>0</v>
      </c>
    </row>
    <row r="14" spans="1:11" ht="16.5" x14ac:dyDescent="0.35">
      <c r="A14" s="1" t="s">
        <v>17</v>
      </c>
      <c r="B14" s="25"/>
      <c r="C14" s="25"/>
      <c r="D14" s="32">
        <f t="shared" si="0"/>
        <v>0</v>
      </c>
      <c r="E14" s="26"/>
      <c r="F14" s="29">
        <f>B14*(1-B$15/100)</f>
        <v>0</v>
      </c>
      <c r="G14" s="29">
        <f>C14*(1-C$15/100)</f>
        <v>0</v>
      </c>
      <c r="H14" s="29">
        <f t="shared" si="1"/>
        <v>0</v>
      </c>
      <c r="I14" s="29">
        <f t="shared" si="2"/>
        <v>0</v>
      </c>
      <c r="J14" s="30">
        <f>ROUND(H14*(1-$C$15/100),0)</f>
        <v>0</v>
      </c>
      <c r="K14" s="30">
        <f>ROUND(I14*(1-$C$15/100),0)</f>
        <v>0</v>
      </c>
    </row>
    <row r="15" spans="1:11" ht="45.5" x14ac:dyDescent="0.35">
      <c r="A15" s="1" t="s">
        <v>23</v>
      </c>
      <c r="B15" s="27"/>
      <c r="C15" s="27"/>
      <c r="D15" s="32"/>
      <c r="E15" s="21"/>
      <c r="F15" s="15"/>
      <c r="G15" s="15"/>
      <c r="H15" s="15"/>
      <c r="I15" s="15"/>
      <c r="J15" s="20"/>
      <c r="K15" s="20"/>
    </row>
    <row r="16" spans="1:11" x14ac:dyDescent="0.35">
      <c r="A16" s="1" t="s">
        <v>6</v>
      </c>
      <c r="B16" s="31">
        <f>SUM(B10:B14)</f>
        <v>200</v>
      </c>
      <c r="C16" s="31">
        <f>SUM(C10:C14)</f>
        <v>300</v>
      </c>
      <c r="D16" s="32">
        <f t="shared" si="0"/>
        <v>50</v>
      </c>
      <c r="E16" s="33"/>
      <c r="F16" s="34">
        <f>ROUND((SUM(F10:F14))*(1-B15/100),0)</f>
        <v>1400</v>
      </c>
      <c r="G16" s="34">
        <f>ROUND((SUM(G10:G14))*(1-C15/100),0)</f>
        <v>2100</v>
      </c>
      <c r="H16" s="34">
        <f>SUM(H10:H14)</f>
        <v>450</v>
      </c>
      <c r="I16" s="34">
        <f>SUM(I10:I14)</f>
        <v>675</v>
      </c>
      <c r="J16" s="31">
        <f>ROUND(SUM(J10:J14),0)</f>
        <v>3150</v>
      </c>
      <c r="K16" s="31">
        <f>ROUND(SUM(K10:K14),0)</f>
        <v>4725</v>
      </c>
    </row>
    <row r="17" spans="1:11" ht="31" x14ac:dyDescent="0.35">
      <c r="A17" s="7" t="s">
        <v>33</v>
      </c>
      <c r="B17" s="8"/>
      <c r="C17" s="8"/>
      <c r="D17" s="8"/>
      <c r="E17" s="8"/>
      <c r="F17" s="8"/>
      <c r="G17" s="8"/>
      <c r="H17" s="8"/>
      <c r="I17" s="8"/>
      <c r="J17" s="25"/>
      <c r="K17" s="25"/>
    </row>
    <row r="18" spans="1:11" ht="50.25" customHeight="1" x14ac:dyDescent="0.35">
      <c r="A18" s="7" t="s">
        <v>18</v>
      </c>
      <c r="B18" s="8"/>
      <c r="C18" s="8"/>
      <c r="D18" s="8"/>
      <c r="E18" s="8"/>
      <c r="F18" s="8"/>
      <c r="G18" s="8"/>
      <c r="H18" s="8"/>
      <c r="I18" s="8"/>
      <c r="J18" s="28"/>
      <c r="K18" s="28"/>
    </row>
    <row r="19" spans="1:11" ht="29" x14ac:dyDescent="0.35">
      <c r="A19" s="7" t="s">
        <v>5</v>
      </c>
      <c r="B19" s="8"/>
      <c r="C19" s="8"/>
      <c r="D19" s="8"/>
      <c r="E19" s="8"/>
      <c r="F19" s="8"/>
      <c r="G19" s="8"/>
      <c r="H19" s="8"/>
      <c r="I19" s="8"/>
      <c r="J19" s="24">
        <f>ROUND(IF(J18="",IF(J16&gt;J17, J16-J17,0),IF(J16*(J18/100)&gt;J17,J16*(J18/100)-J17,0)),0)</f>
        <v>3150</v>
      </c>
      <c r="K19" s="24">
        <f>ROUND(IF(K18="",IF(K16&gt;K17, K16-K17,0),IF(K16*(K18/100)&gt;K17,K16*(K18/100)-K17,0)),0)</f>
        <v>4725</v>
      </c>
    </row>
    <row r="20" spans="1:11" x14ac:dyDescent="0.35">
      <c r="B20" s="10"/>
      <c r="C20" s="10"/>
      <c r="D20" s="10"/>
      <c r="E20" s="10"/>
      <c r="F20" s="10"/>
      <c r="G20" s="10"/>
      <c r="H20" s="10"/>
      <c r="I20" s="10"/>
      <c r="J20" s="9"/>
    </row>
    <row r="21" spans="1:11" x14ac:dyDescent="0.35">
      <c r="A21" s="1" t="s">
        <v>7</v>
      </c>
    </row>
    <row r="22" spans="1:11" ht="49.5" customHeight="1" x14ac:dyDescent="0.35">
      <c r="A22" s="39" t="s">
        <v>21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30" customHeight="1" x14ac:dyDescent="0.35">
      <c r="A23" s="39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30" customHeight="1" x14ac:dyDescent="0.35">
      <c r="A24" s="40" t="s">
        <v>26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30" customHeight="1" x14ac:dyDescent="0.35">
      <c r="A25" s="42" t="s">
        <v>31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30" customHeight="1" x14ac:dyDescent="0.35">
      <c r="A26" s="39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44.25" customHeight="1" x14ac:dyDescent="0.35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x14ac:dyDescent="0.35">
      <c r="A28" s="39" t="s">
        <v>28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29.25" customHeight="1" x14ac:dyDescent="0.35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s="12" customFormat="1" x14ac:dyDescent="0.35">
      <c r="A30" s="12" t="s">
        <v>20</v>
      </c>
      <c r="C30" s="14"/>
    </row>
    <row r="32" spans="1:11" x14ac:dyDescent="0.35">
      <c r="A32" s="5"/>
    </row>
    <row r="33" spans="1:1" ht="29" x14ac:dyDescent="0.35">
      <c r="A33" s="1" t="s">
        <v>24</v>
      </c>
    </row>
    <row r="35" spans="1:1" x14ac:dyDescent="0.35">
      <c r="A35" s="5"/>
    </row>
    <row r="36" spans="1:1" x14ac:dyDescent="0.35">
      <c r="A36" s="5"/>
    </row>
    <row r="37" spans="1:1" x14ac:dyDescent="0.35">
      <c r="A37" s="5"/>
    </row>
    <row r="38" spans="1:1" x14ac:dyDescent="0.35">
      <c r="A38" s="2"/>
    </row>
    <row r="39" spans="1:1" x14ac:dyDescent="0.35">
      <c r="A39" s="5"/>
    </row>
    <row r="40" spans="1:1" x14ac:dyDescent="0.35">
      <c r="A40" s="13"/>
    </row>
    <row r="41" spans="1:1" x14ac:dyDescent="0.35">
      <c r="A41" s="13"/>
    </row>
    <row r="42" spans="1:1" x14ac:dyDescent="0.35">
      <c r="A42" s="13"/>
    </row>
    <row r="43" spans="1:1" x14ac:dyDescent="0.35">
      <c r="A43" s="13"/>
    </row>
    <row r="44" spans="1:1" x14ac:dyDescent="0.35">
      <c r="A44" s="5"/>
    </row>
    <row r="45" spans="1:1" x14ac:dyDescent="0.35">
      <c r="A45" s="5"/>
    </row>
    <row r="46" spans="1:1" x14ac:dyDescent="0.35">
      <c r="A46" s="5"/>
    </row>
  </sheetData>
  <sheetProtection algorithmName="SHA-256" hashValue="V4RSrtL9GaSYe2IGGPyggQwmGyEC+YN/xeYa9srIIgg=" saltValue="k1M90SCJLUwPccBYfNNFtQ==" spinCount="100000" sheet="1" objects="1" scenarios="1"/>
  <protectedRanges>
    <protectedRange sqref="E10:E14" name="multiplication factor"/>
    <protectedRange sqref="J17:K18" name="inventory"/>
    <protectedRange sqref="B10:C15" name="cases"/>
    <protectedRange sqref="B6" name="Empiric Treatment"/>
  </protectedRanges>
  <mergeCells count="14">
    <mergeCell ref="A1:K1"/>
    <mergeCell ref="A4:J4"/>
    <mergeCell ref="A22:K22"/>
    <mergeCell ref="A29:K29"/>
    <mergeCell ref="A24:K24"/>
    <mergeCell ref="A23:K23"/>
    <mergeCell ref="A26:K26"/>
    <mergeCell ref="H8:I8"/>
    <mergeCell ref="J8:K8"/>
    <mergeCell ref="A25:K25"/>
    <mergeCell ref="A27:K27"/>
    <mergeCell ref="A28:K28"/>
    <mergeCell ref="B8:C8"/>
    <mergeCell ref="F8:G8"/>
  </mergeCells>
  <printOptions headings="1" gridLines="1"/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Gift, Thomas L. (CDC/OID/NCHHSTP)</dc:creator>
  <cp:lastModifiedBy>Charlie Rabins</cp:lastModifiedBy>
  <cp:lastPrinted>2018-06-15T12:59:54Z</cp:lastPrinted>
  <dcterms:created xsi:type="dcterms:W3CDTF">2017-06-15T13:43:58Z</dcterms:created>
  <dcterms:modified xsi:type="dcterms:W3CDTF">2018-06-20T19:23:16Z</dcterms:modified>
</cp:coreProperties>
</file>